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edek 230V-rol -A" sheetId="1" r:id="rId1"/>
    <sheet name="LEDek 230V-ról -2" sheetId="2" r:id="rId2"/>
  </sheets>
  <definedNames>
    <definedName name="_xlnm.Print_Area" localSheetId="1">'LEDek 230V-ról -2'!$A$1:$K$34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 xml:space="preserve">Közelítő számítás, nem veszi figyelembe, hogy az áram nem teljesen szinuszos, ennek ellenére nagyjából jó eredményt ad.
</t>
        </r>
      </text>
    </comment>
    <comment ref="F7" authorId="0">
      <text>
        <r>
          <rPr>
            <sz val="10"/>
            <rFont val="Arial"/>
            <family val="2"/>
          </rPr>
          <t>Közelítő számítás, csak akkor ad jó eredményt ha az előtét-kondenzátor impedanciája dominál az „RCR” körben.</t>
        </r>
      </text>
    </comment>
    <comment ref="F8" authorId="0">
      <text>
        <r>
          <rPr>
            <sz val="10"/>
            <rFont val="Arial"/>
            <family val="2"/>
          </rPr>
          <t>Ekkora kapacitású kondenzátort kell beépíteni a kívánt áramerősség eléréséhez!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8"/>
            <color indexed="8"/>
            <rFont val="Tahoma"/>
            <family val="2"/>
          </rPr>
          <t>szinuszos feszültség csúcsértéke Ueff * 2^0,5</t>
        </r>
      </text>
    </comment>
    <comment ref="F4" authorId="0">
      <text>
        <r>
          <rPr>
            <b/>
            <sz val="8"/>
            <color indexed="8"/>
            <rFont val="Tahoma"/>
            <family val="2"/>
          </rPr>
          <t>Ha pontr a szinusz maximumál kapcsolunk be, 
akkor maximálisan ekkora áramimpulzus keletkezhet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>Bekapcsolási tranzienst (áramimpulzust) korlátozó ellenállás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>Az ellenálláson hővé alakuló teljesítmény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>C1-et kisütő ellenállás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>Az ellenálláson hővé alakuló teljesítmény</t>
        </r>
      </text>
    </comment>
    <comment ref="B8" authorId="0">
      <text>
        <r>
          <rPr>
            <b/>
            <sz val="8"/>
            <color indexed="8"/>
            <rFont val="Tahoma"/>
            <family val="2"/>
          </rPr>
          <t>A sorbakapcsolt ledeken, az üzemi áramerősség esetén eső feszültség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A kondenzátor reaktanciája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Eredő impedancia közelítő értéke, (csak addig ad pontos értéket amíg az előtétkondenzátor impadanciája dominál)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C2 kapacitása lehetőleg ennél nagyobb negyen</t>
        </r>
      </text>
    </comment>
  </commentList>
</comments>
</file>

<file path=xl/sharedStrings.xml><?xml version="1.0" encoding="utf-8"?>
<sst xmlns="http://schemas.openxmlformats.org/spreadsheetml/2006/main" count="107" uniqueCount="73">
  <si>
    <t>Ledek üzemeltetése hálózatról, előtétkondenzátoros áramkorláttal</t>
  </si>
  <si>
    <t>Ismert adatok</t>
  </si>
  <si>
    <t>Számított adatok</t>
  </si>
  <si>
    <t>Hálózati fesz eff értéke</t>
  </si>
  <si>
    <t>V</t>
  </si>
  <si>
    <t>Up=</t>
  </si>
  <si>
    <t>Hálózati feszültség csúcsértéke</t>
  </si>
  <si>
    <t>Frekvencia</t>
  </si>
  <si>
    <t>Hz</t>
  </si>
  <si>
    <t>I_be_eff=</t>
  </si>
  <si>
    <t>Hálózati áramfelvétel effektív értéke</t>
  </si>
  <si>
    <t>Ledeken eső feszültség</t>
  </si>
  <si>
    <t>I_be_tr</t>
  </si>
  <si>
    <t>Bekapcsolási áramtranziens elvi maxiuma</t>
  </si>
  <si>
    <t>Ledeken folyó áram</t>
  </si>
  <si>
    <t>mA</t>
  </si>
  <si>
    <t>Ze=</t>
  </si>
  <si>
    <t>Az előtét impadanciája</t>
  </si>
  <si>
    <t>Xc=</t>
  </si>
  <si>
    <t>A szükséges kondenzátor impedanciája</t>
  </si>
  <si>
    <t>Ellenállások értékei</t>
  </si>
  <si>
    <t>C1=</t>
  </si>
  <si>
    <t>A kondenzátor számított kapacitása</t>
  </si>
  <si>
    <t>R1</t>
  </si>
  <si>
    <t>Ω</t>
  </si>
  <si>
    <t>P_R1=</t>
  </si>
  <si>
    <t xml:space="preserve">Teljesítményveszteség az ellenálláson </t>
  </si>
  <si>
    <t>R2</t>
  </si>
  <si>
    <t>kΩ</t>
  </si>
  <si>
    <t>P_R2=</t>
  </si>
  <si>
    <t>R1 megválasztása egy kompromisszum, nagyobb érték esetén kisebb a bekapcsolási áramtranziens, de nagyobb lesz az ellenállás disszipácóija. Ajánlott értéke 4...100Ω közötti</t>
  </si>
  <si>
    <r>
      <t xml:space="preserve">C2 </t>
    </r>
    <r>
      <rPr>
        <b/>
        <sz val="8"/>
        <rFont val="Arial"/>
        <family val="2"/>
      </rPr>
      <t>&gt;</t>
    </r>
  </si>
  <si>
    <t>C2 kb. ajánlott értéke</t>
  </si>
  <si>
    <t>Hatásfok=</t>
  </si>
  <si>
    <t>Led teljesítmény / Hálózatból felvett</t>
  </si>
  <si>
    <t>Cos Fi =</t>
  </si>
  <si>
    <t xml:space="preserve"> telj. tényező (kapacitív)</t>
  </si>
  <si>
    <t>R2 a kondenzátor kisütését oldja meg, kis érték gyossabban kisüti a kondenzátort, cserébe többet disszipál (jobban melegszik) Ajánlott értéke 50kΩ....2MΩ közötti</t>
  </si>
  <si>
    <t>Megjegyzések:</t>
  </si>
  <si>
    <t>Figyelem!! A hálózati feszültség használata miatt az áramkör (beleértve a ledeket is) bármely pontjának érintése életveszélyes lehet!</t>
  </si>
  <si>
    <t>Figyelem!! C2 kondenzátor töltése kikapcsolt állapotban is megmaradhat, ez olyan nagyságú is lehet, hogy az áramkör a hálózatról leválasztott állapotában (kikacsolva) is okozhat áramütést!</t>
  </si>
  <si>
    <t>A táblázat csak közelítő számítást végez!</t>
  </si>
  <si>
    <t>R1 és R2 legalább 1W-os ellenállás legyen</t>
  </si>
  <si>
    <t>C1 váltakozó áramot és feszültséget elviselő tipus kell hogy legyen</t>
  </si>
  <si>
    <t>R2 a kondenzátor kisütését oldja meg, pontos értéke nem kritikus</t>
  </si>
  <si>
    <t>C2 feladata a bekapcsolási tranziens áramának "elnyelése", és a ledeken átfolyó áram hullámosságának csökkentése. Nem célszerű kihagyni az áramkörből! Feszültségtűrése nagyobb legyen mint a ledek nyitófeszültségének az összege.</t>
  </si>
  <si>
    <t>A graetz egyenirányítót legalább a ledeken eső össz fesz. duplájára méretezzük, 
és az átfolyó áram 10x-esére</t>
  </si>
  <si>
    <t>Figyelem!! A ledek szakadása esetén C2 kondenzátor a bemeneti feszültség csúcsértékére töltődhet, és ettől tönkremehet rossz esetben szétpukkanhat, csak (mechanikusan és érintésvédelmileg is)  megfelelő védelmet nyújtó dobozba szerelve használjuk az áramkört.</t>
  </si>
  <si>
    <t>Ledek üzemeltetése hálózatról,
előtétkondenzátoros áramkorláttal</t>
  </si>
  <si>
    <t>Fesz.csúcsértéke</t>
  </si>
  <si>
    <t>I_tranz=</t>
  </si>
  <si>
    <t>Max áramimpulzus</t>
  </si>
  <si>
    <t>C1</t>
  </si>
  <si>
    <t>nF</t>
  </si>
  <si>
    <t>Ieff=</t>
  </si>
  <si>
    <r>
      <t>P</t>
    </r>
    <r>
      <rPr>
        <vertAlign val="subscript"/>
        <sz val="12"/>
        <rFont val="Arial"/>
        <family val="2"/>
      </rPr>
      <t>R1=</t>
    </r>
  </si>
  <si>
    <t>Ellenállás veszteségi teljesítménye</t>
  </si>
  <si>
    <r>
      <t>P</t>
    </r>
    <r>
      <rPr>
        <vertAlign val="subscript"/>
        <sz val="12"/>
        <rFont val="Arial"/>
        <family val="2"/>
      </rPr>
      <t>R2=</t>
    </r>
  </si>
  <si>
    <t>Impedancia</t>
  </si>
  <si>
    <t>I_led=</t>
  </si>
  <si>
    <t>Ledek árama</t>
  </si>
  <si>
    <t>C2 &gt;</t>
  </si>
  <si>
    <t>C2 ajnálott &gt;</t>
  </si>
  <si>
    <t>CosFi=</t>
  </si>
  <si>
    <t>Figyelem!! A hálózati feszültség használata miatt az áramkör (beleértve a ledeket is) bármely pontjának érintése élwetveszélyes lehet!</t>
  </si>
  <si>
    <t>R1 helyén célszerű a számítottnál legalább 2x akkora teljesítményű (de legalább 1W-os) ellenállás használata, feladata a bekapcsolási áramlökés korlátozása, illetve hiba esetén olvadóbiztiként is fubnkcionálhat</t>
  </si>
  <si>
    <t>C2 feladata a bekapcsolási tranziens áramának "elnyelése", és a ledeken átfolyó áram hullámosságának csökkentése. Nem célszerű kihagyni az áramkörből! Feszültségtűrése nagyobb legyen mint a ledek nyiotófeszültségének az összege.</t>
  </si>
  <si>
    <t>D1 - D4 diódákat célszerű a hálózati feszültség csúcsértékének legalább a duplájára méretezni, és a ledek áramának legalább a 10x-esére (+ ki kell bírniuk a bekapcsolási áramimpulzustt is  - adatlapon "nem ismétlődő csúcsáram" értéke)</t>
  </si>
  <si>
    <t>Figyelem!! A ledek szakadása esetén C2 kondenzátor a bemeneti feszültség csúcsértékére töltődhet, és ettől tönkremehet rossz esetben szétpukkanhat, csak (mechanikusan és érintésvédelmileg is)  megfelelő védelmet nyujtó dobozba szerelve használjuk az áramkört.</t>
  </si>
  <si>
    <t>P_led</t>
  </si>
  <si>
    <t>P_felv</t>
  </si>
  <si>
    <t>Ledek össz teljesítménye</t>
  </si>
  <si>
    <t>Hálózatból felvett teljesítmény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</si>
</sst>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&quot; V&quot;"/>
    <numFmt numFmtId="165" formatCode="0.0&quot; mA&quot;"/>
    <numFmt numFmtId="166" formatCode="0.00&quot; A&quot;"/>
    <numFmt numFmtId="167" formatCode="0.00&quot; KΩ&quot;"/>
    <numFmt numFmtId="168" formatCode="0.0"/>
    <numFmt numFmtId="169" formatCode="0.00&quot; nF&quot;"/>
    <numFmt numFmtId="170" formatCode="&quot;&gt;=&quot;0.0\W"/>
    <numFmt numFmtId="171" formatCode="0&quot; W&quot;"/>
    <numFmt numFmtId="172" formatCode="0.00&quot; W&quot;"/>
    <numFmt numFmtId="173" formatCode="0.0&quot; uF&quot;"/>
    <numFmt numFmtId="174" formatCode="0.0%"/>
    <numFmt numFmtId="175" formatCode="0.0&quot; A&quot;"/>
    <numFmt numFmtId="176" formatCode="0.000"/>
    <numFmt numFmtId="177" formatCode="0.00&quot; kΩ&quot;"/>
    <numFmt numFmtId="178" formatCode="0.00&quot; %&quot;"/>
    <numFmt numFmtId="179" formatCode="0.0000&quot; W&quot;"/>
  </numFmts>
  <fonts count="51"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4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43"/>
      <name val="Arial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0" fontId="0" fillId="34" borderId="0" xfId="0" applyNumberForma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horizontal="left" vertical="center"/>
      <protection hidden="1"/>
    </xf>
    <xf numFmtId="0" fontId="0" fillId="33" borderId="14" xfId="0" applyFont="1" applyFill="1" applyBorder="1" applyAlignment="1" applyProtection="1">
      <alignment horizontal="right" vertical="center"/>
      <protection hidden="1"/>
    </xf>
    <xf numFmtId="164" fontId="0" fillId="35" borderId="0" xfId="0" applyNumberForma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165" fontId="0" fillId="35" borderId="0" xfId="0" applyNumberFormat="1" applyFont="1" applyFill="1" applyBorder="1" applyAlignment="1" applyProtection="1">
      <alignment vertical="center"/>
      <protection hidden="1"/>
    </xf>
    <xf numFmtId="2" fontId="0" fillId="33" borderId="12" xfId="0" applyNumberFormat="1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66" fontId="0" fillId="35" borderId="0" xfId="0" applyNumberForma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2" fontId="0" fillId="33" borderId="16" xfId="0" applyNumberForma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right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170" fontId="4" fillId="0" borderId="0" xfId="0" applyNumberFormat="1" applyFont="1" applyFill="1" applyBorder="1" applyAlignment="1" applyProtection="1">
      <alignment vertical="center"/>
      <protection hidden="1"/>
    </xf>
    <xf numFmtId="168" fontId="0" fillId="0" borderId="0" xfId="0" applyNumberFormat="1" applyFont="1" applyFill="1" applyBorder="1" applyAlignment="1" applyProtection="1">
      <alignment vertical="center"/>
      <protection hidden="1"/>
    </xf>
    <xf numFmtId="2" fontId="0" fillId="33" borderId="14" xfId="0" applyNumberFormat="1" applyFont="1" applyFill="1" applyBorder="1" applyAlignment="1" applyProtection="1">
      <alignment vertical="center"/>
      <protection hidden="1"/>
    </xf>
    <xf numFmtId="171" fontId="5" fillId="35" borderId="15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Fill="1" applyBorder="1" applyAlignment="1" applyProtection="1">
      <alignment vertical="center"/>
      <protection hidden="1"/>
    </xf>
    <xf numFmtId="173" fontId="2" fillId="35" borderId="0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right"/>
      <protection hidden="1"/>
    </xf>
    <xf numFmtId="174" fontId="0" fillId="35" borderId="0" xfId="0" applyNumberFormat="1" applyFont="1" applyFill="1" applyBorder="1" applyAlignment="1" applyProtection="1">
      <alignment vertical="center"/>
      <protection hidden="1"/>
    </xf>
    <xf numFmtId="2" fontId="0" fillId="35" borderId="0" xfId="0" applyNumberFormat="1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horizontal="right"/>
      <protection hidden="1"/>
    </xf>
    <xf numFmtId="174" fontId="0" fillId="35" borderId="20" xfId="0" applyNumberFormat="1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locked="0"/>
    </xf>
    <xf numFmtId="164" fontId="0" fillId="35" borderId="0" xfId="0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168" fontId="0" fillId="0" borderId="0" xfId="0" applyNumberFormat="1" applyFont="1" applyFill="1" applyBorder="1" applyAlignment="1" applyProtection="1">
      <alignment vertical="center"/>
      <protection hidden="1"/>
    </xf>
    <xf numFmtId="175" fontId="13" fillId="35" borderId="0" xfId="0" applyNumberFormat="1" applyFont="1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165" fontId="0" fillId="35" borderId="0" xfId="0" applyNumberFormat="1" applyFont="1" applyFill="1" applyBorder="1" applyAlignment="1" applyProtection="1">
      <alignment vertical="center"/>
      <protection hidden="1"/>
    </xf>
    <xf numFmtId="2" fontId="0" fillId="36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2" fontId="0" fillId="0" borderId="0" xfId="0" applyNumberFormat="1" applyFont="1" applyFill="1" applyBorder="1" applyAlignment="1" applyProtection="1">
      <alignment vertical="center"/>
      <protection hidden="1"/>
    </xf>
    <xf numFmtId="172" fontId="0" fillId="35" borderId="0" xfId="0" applyNumberFormat="1" applyFont="1" applyFill="1" applyBorder="1" applyAlignment="1" applyProtection="1">
      <alignment vertical="center"/>
      <protection hidden="1"/>
    </xf>
    <xf numFmtId="176" fontId="0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2" fontId="0" fillId="35" borderId="0" xfId="0" applyNumberFormat="1" applyFill="1" applyBorder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vertical="center"/>
      <protection hidden="1"/>
    </xf>
    <xf numFmtId="177" fontId="0" fillId="35" borderId="0" xfId="0" applyNumberForma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173" fontId="0" fillId="35" borderId="0" xfId="0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vertical="center"/>
      <protection hidden="1"/>
    </xf>
    <xf numFmtId="178" fontId="0" fillId="35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36" borderId="0" xfId="0" applyNumberFormat="1" applyFont="1" applyFill="1" applyBorder="1" applyAlignment="1" applyProtection="1">
      <alignment vertical="top"/>
      <protection hidden="1"/>
    </xf>
    <xf numFmtId="172" fontId="0" fillId="35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11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vertical="center"/>
      <protection hidden="1"/>
    </xf>
    <xf numFmtId="0" fontId="4" fillId="33" borderId="24" xfId="0" applyFont="1" applyFill="1" applyBorder="1" applyAlignment="1" applyProtection="1">
      <alignment vertical="center" wrapText="1"/>
      <protection hidden="1"/>
    </xf>
    <xf numFmtId="0" fontId="4" fillId="33" borderId="24" xfId="0" applyFont="1" applyFill="1" applyBorder="1" applyAlignment="1" applyProtection="1">
      <alignment/>
      <protection hidden="1"/>
    </xf>
    <xf numFmtId="2" fontId="0" fillId="35" borderId="25" xfId="0" applyNumberFormat="1" applyFont="1" applyFill="1" applyBorder="1" applyAlignment="1" applyProtection="1">
      <alignment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vertical="center"/>
      <protection hidden="1"/>
    </xf>
    <xf numFmtId="0" fontId="0" fillId="37" borderId="0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right" vertical="center"/>
      <protection hidden="1"/>
    </xf>
    <xf numFmtId="0" fontId="5" fillId="33" borderId="27" xfId="0" applyFont="1" applyFill="1" applyBorder="1" applyAlignment="1" applyProtection="1">
      <alignment horizontal="right"/>
      <protection hidden="1"/>
    </xf>
    <xf numFmtId="0" fontId="0" fillId="33" borderId="27" xfId="0" applyFont="1" applyFill="1" applyBorder="1" applyAlignment="1" applyProtection="1">
      <alignment horizontal="right"/>
      <protection hidden="1"/>
    </xf>
    <xf numFmtId="0" fontId="0" fillId="33" borderId="28" xfId="0" applyFont="1" applyFill="1" applyBorder="1" applyAlignment="1" applyProtection="1">
      <alignment horizontal="right"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locked="0"/>
    </xf>
    <xf numFmtId="0" fontId="14" fillId="33" borderId="25" xfId="0" applyFont="1" applyFill="1" applyBorder="1" applyAlignment="1" applyProtection="1">
      <alignment/>
      <protection hidden="1"/>
    </xf>
    <xf numFmtId="0" fontId="14" fillId="33" borderId="26" xfId="0" applyFont="1" applyFill="1" applyBorder="1" applyAlignment="1" applyProtection="1">
      <alignment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165" fontId="2" fillId="35" borderId="0" xfId="0" applyNumberFormat="1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/>
      <protection hidden="1"/>
    </xf>
    <xf numFmtId="171" fontId="14" fillId="38" borderId="23" xfId="0" applyNumberFormat="1" applyFont="1" applyFill="1" applyBorder="1" applyAlignment="1" applyProtection="1">
      <alignment/>
      <protection hidden="1"/>
    </xf>
    <xf numFmtId="171" fontId="14" fillId="38" borderId="26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right"/>
      <protection hidden="1"/>
    </xf>
    <xf numFmtId="167" fontId="0" fillId="35" borderId="0" xfId="0" applyNumberFormat="1" applyFill="1" applyBorder="1" applyAlignment="1" applyProtection="1">
      <alignment/>
      <protection hidden="1"/>
    </xf>
    <xf numFmtId="168" fontId="0" fillId="34" borderId="17" xfId="0" applyNumberFormat="1" applyFill="1" applyBorder="1" applyAlignment="1" applyProtection="1">
      <alignment vertical="center"/>
      <protection hidden="1"/>
    </xf>
    <xf numFmtId="169" fontId="2" fillId="35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72" fontId="0" fillId="35" borderId="0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179" fontId="0" fillId="35" borderId="0" xfId="0" applyNumberFormat="1" applyFill="1" applyBorder="1" applyAlignment="1" applyProtection="1">
      <alignment vertical="center"/>
      <protection hidden="1"/>
    </xf>
    <xf numFmtId="0" fontId="1" fillId="33" borderId="29" xfId="0" applyFont="1" applyFill="1" applyBorder="1" applyAlignment="1" applyProtection="1">
      <alignment horizontal="center" wrapText="1"/>
      <protection hidden="1"/>
    </xf>
    <xf numFmtId="0" fontId="2" fillId="33" borderId="30" xfId="0" applyFont="1" applyFill="1" applyBorder="1" applyAlignment="1" applyProtection="1">
      <alignment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vertical="center"/>
      <protection hidden="1"/>
    </xf>
    <xf numFmtId="2" fontId="4" fillId="33" borderId="32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33" xfId="0" applyNumberFormat="1" applyFont="1" applyFill="1" applyBorder="1" applyAlignment="1" applyProtection="1">
      <alignment horizontal="left" vertical="top" wrapText="1"/>
      <protection hidden="1"/>
    </xf>
    <xf numFmtId="0" fontId="4" fillId="39" borderId="34" xfId="0" applyFont="1" applyFill="1" applyBorder="1" applyAlignment="1" applyProtection="1">
      <alignment horizontal="left"/>
      <protection hidden="1"/>
    </xf>
    <xf numFmtId="0" fontId="4" fillId="39" borderId="34" xfId="0" applyFont="1" applyFill="1" applyBorder="1" applyAlignment="1" applyProtection="1">
      <alignment horizontal="left" wrapText="1"/>
      <protection hidden="1"/>
    </xf>
    <xf numFmtId="0" fontId="4" fillId="39" borderId="35" xfId="0" applyFont="1" applyFill="1" applyBorder="1" applyAlignment="1" applyProtection="1">
      <alignment horizontal="left" wrapText="1"/>
      <protection hidden="1"/>
    </xf>
    <xf numFmtId="0" fontId="4" fillId="39" borderId="36" xfId="0" applyFont="1" applyFill="1" applyBorder="1" applyAlignment="1" applyProtection="1">
      <alignment horizontal="left" vertical="center" wrapText="1"/>
      <protection hidden="1"/>
    </xf>
    <xf numFmtId="0" fontId="4" fillId="39" borderId="34" xfId="0" applyFont="1" applyFill="1" applyBorder="1" applyAlignment="1" applyProtection="1">
      <alignment horizontal="left" vertical="center" wrapText="1"/>
      <protection hidden="1"/>
    </xf>
    <xf numFmtId="2" fontId="4" fillId="33" borderId="37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23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27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24" xfId="0" applyNumberFormat="1" applyFont="1" applyFill="1" applyBorder="1" applyAlignment="1" applyProtection="1">
      <alignment horizontal="left" vertical="center" wrapText="1"/>
      <protection hidden="1"/>
    </xf>
    <xf numFmtId="2" fontId="4" fillId="33" borderId="27" xfId="0" applyNumberFormat="1" applyFont="1" applyFill="1" applyBorder="1" applyAlignment="1" applyProtection="1">
      <alignment horizontal="left" vertical="top" wrapText="1"/>
      <protection hidden="1"/>
    </xf>
    <xf numFmtId="2" fontId="4" fillId="33" borderId="0" xfId="0" applyNumberFormat="1" applyFont="1" applyFill="1" applyBorder="1" applyAlignment="1" applyProtection="1">
      <alignment horizontal="left" vertical="top" wrapText="1"/>
      <protection hidden="1"/>
    </xf>
    <xf numFmtId="2" fontId="4" fillId="33" borderId="24" xfId="0" applyNumberFormat="1" applyFont="1" applyFill="1" applyBorder="1" applyAlignment="1" applyProtection="1">
      <alignment horizontal="left" vertical="top" wrapTex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39" borderId="3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16</xdr:row>
      <xdr:rowOff>19050</xdr:rowOff>
    </xdr:from>
    <xdr:to>
      <xdr:col>5</xdr:col>
      <xdr:colOff>685800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048000"/>
          <a:ext cx="333375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104775</xdr:rowOff>
    </xdr:from>
    <xdr:to>
      <xdr:col>5</xdr:col>
      <xdr:colOff>247650</xdr:colOff>
      <xdr:row>22</xdr:row>
      <xdr:rowOff>47625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3333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1.00390625" style="106" customWidth="1"/>
    <col min="2" max="2" width="6.57421875" style="106" customWidth="1"/>
    <col min="3" max="3" width="4.28125" style="106" customWidth="1"/>
    <col min="4" max="4" width="6.28125" style="106" customWidth="1"/>
    <col min="5" max="5" width="9.421875" style="106" customWidth="1"/>
    <col min="6" max="6" width="17.421875" style="106" customWidth="1"/>
    <col min="7" max="7" width="31.57421875" style="106" customWidth="1"/>
    <col min="8" max="8" width="21.57421875" style="106" customWidth="1"/>
    <col min="9" max="9" width="9.7109375" style="106" customWidth="1"/>
    <col min="10" max="11" width="5.57421875" style="106" customWidth="1"/>
    <col min="12" max="12" width="9.140625" style="106" customWidth="1"/>
    <col min="13" max="13" width="12.421875" style="106" customWidth="1"/>
    <col min="14" max="16384" width="9.140625" style="106" customWidth="1"/>
  </cols>
  <sheetData>
    <row r="1" spans="1:16" ht="21" customHeight="1">
      <c r="A1" s="127" t="s">
        <v>0</v>
      </c>
      <c r="B1" s="127"/>
      <c r="C1" s="127"/>
      <c r="D1" s="127"/>
      <c r="E1" s="127"/>
      <c r="F1" s="127"/>
      <c r="G1" s="127"/>
      <c r="L1" s="107"/>
      <c r="N1" s="107"/>
      <c r="O1" s="107"/>
      <c r="P1" s="107"/>
    </row>
    <row r="2" spans="1:16" ht="12.75">
      <c r="A2" s="128" t="s">
        <v>1</v>
      </c>
      <c r="B2" s="128"/>
      <c r="C2" s="128"/>
      <c r="D2" s="1"/>
      <c r="E2" s="129" t="s">
        <v>2</v>
      </c>
      <c r="F2" s="129"/>
      <c r="G2" s="2">
        <f>(B3&lt;1)+(B4&lt;1)+(B5&lt;0)+(B6&lt;=0)+(B9&lt;1)+(B10&lt;1)+(2^0.5*B3&lt;=B5+1.5)</f>
        <v>0</v>
      </c>
      <c r="H2" s="108"/>
      <c r="L2" s="107"/>
      <c r="N2" s="107"/>
      <c r="O2" s="107"/>
      <c r="P2" s="107"/>
    </row>
    <row r="3" spans="1:16" ht="15">
      <c r="A3" s="3" t="s">
        <v>3</v>
      </c>
      <c r="B3" s="4">
        <v>230</v>
      </c>
      <c r="C3" s="5" t="s">
        <v>4</v>
      </c>
      <c r="D3" s="6"/>
      <c r="E3" s="7" t="s">
        <v>5</v>
      </c>
      <c r="F3" s="8">
        <f>IF(G2=0,2^0.5*B3,"")</f>
        <v>325.2691193458119</v>
      </c>
      <c r="G3" s="9" t="s">
        <v>6</v>
      </c>
      <c r="H3" s="109"/>
      <c r="I3" s="107"/>
      <c r="J3" s="107"/>
      <c r="K3" s="107"/>
      <c r="L3" s="107"/>
      <c r="M3" s="107"/>
      <c r="N3" s="107"/>
      <c r="O3" s="107"/>
      <c r="P3" s="107"/>
    </row>
    <row r="4" spans="1:16" ht="15">
      <c r="A4" s="3" t="s">
        <v>7</v>
      </c>
      <c r="B4" s="4">
        <v>50</v>
      </c>
      <c r="C4" s="5" t="s">
        <v>8</v>
      </c>
      <c r="D4" s="6"/>
      <c r="E4" s="110" t="s">
        <v>9</v>
      </c>
      <c r="F4" s="10">
        <f>IF(G2=0,PI()/2*2^0.5/2*B6*(1+(B5+1.5)/F3),"")</f>
        <v>113.9641362996407</v>
      </c>
      <c r="G4" s="9" t="s">
        <v>10</v>
      </c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5">
      <c r="A5" s="11" t="s">
        <v>11</v>
      </c>
      <c r="B5" s="4">
        <v>150</v>
      </c>
      <c r="C5" s="5" t="s">
        <v>4</v>
      </c>
      <c r="D5" s="6"/>
      <c r="E5" s="12" t="s">
        <v>12</v>
      </c>
      <c r="F5" s="13">
        <f>IF(G2=0,F3/B9,"")</f>
        <v>6.920619560549189</v>
      </c>
      <c r="G5" s="9" t="s">
        <v>13</v>
      </c>
      <c r="H5" s="109"/>
      <c r="I5" s="107"/>
      <c r="J5" s="107"/>
      <c r="K5" s="107"/>
      <c r="L5" s="107"/>
      <c r="M5" s="107"/>
      <c r="N5" s="107"/>
      <c r="O5" s="107"/>
      <c r="P5" s="107"/>
    </row>
    <row r="6" spans="1:16" ht="15">
      <c r="A6" s="11" t="s">
        <v>14</v>
      </c>
      <c r="B6" s="4">
        <v>70</v>
      </c>
      <c r="C6" s="5" t="s">
        <v>15</v>
      </c>
      <c r="D6" s="6"/>
      <c r="E6" s="110" t="s">
        <v>16</v>
      </c>
      <c r="F6" s="111">
        <f>IF(G2=0,(F3-B5-1.5)/B6/PI()*2,"")</f>
        <v>1.5803551028920835</v>
      </c>
      <c r="G6" s="14" t="s">
        <v>17</v>
      </c>
      <c r="H6" s="109"/>
      <c r="I6" s="107"/>
      <c r="J6" s="107"/>
      <c r="K6" s="107"/>
      <c r="L6" s="107"/>
      <c r="M6" s="107"/>
      <c r="N6" s="107"/>
      <c r="O6" s="107"/>
      <c r="P6" s="107"/>
    </row>
    <row r="7" spans="1:16" ht="15">
      <c r="A7" s="15"/>
      <c r="B7" s="112"/>
      <c r="C7" s="16"/>
      <c r="D7" s="17"/>
      <c r="E7" s="110" t="s">
        <v>18</v>
      </c>
      <c r="F7" s="111">
        <f>IF(G2=0,(1/(1/((1000*F6)^2-B9^2)-1/((1000*B10)^2)))^0.5/1000,"")</f>
        <v>1.5796580255994672</v>
      </c>
      <c r="G7" s="18" t="s">
        <v>19</v>
      </c>
      <c r="H7" s="109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30" t="s">
        <v>20</v>
      </c>
      <c r="B8" s="130"/>
      <c r="C8" s="130"/>
      <c r="D8" s="19"/>
      <c r="E8" s="20" t="s">
        <v>21</v>
      </c>
      <c r="F8" s="113">
        <f>IF((G2=0)*(F7&gt;0),10^6/2/PI()/B4/F7,"")</f>
        <v>2015.0556704385097</v>
      </c>
      <c r="G8" s="21" t="s">
        <v>22</v>
      </c>
      <c r="H8" s="22"/>
      <c r="I8" s="114"/>
      <c r="J8" s="23"/>
      <c r="K8" s="115"/>
      <c r="L8" s="107"/>
      <c r="M8" s="107"/>
      <c r="N8" s="107"/>
      <c r="O8" s="107"/>
      <c r="P8" s="107"/>
    </row>
    <row r="9" spans="1:16" ht="15">
      <c r="A9" s="24" t="s">
        <v>23</v>
      </c>
      <c r="B9" s="4">
        <v>47</v>
      </c>
      <c r="C9" s="5" t="s">
        <v>24</v>
      </c>
      <c r="D9" s="25">
        <f>ROUND(F9+1,0)</f>
        <v>2</v>
      </c>
      <c r="E9" s="110" t="s">
        <v>25</v>
      </c>
      <c r="F9" s="116">
        <f>IF(G2=0,F4^2*B9/10^6,"")</f>
        <v>0.6104277450385849</v>
      </c>
      <c r="G9" s="28" t="s">
        <v>26</v>
      </c>
      <c r="H9" s="107"/>
      <c r="I9" s="107"/>
      <c r="J9" s="107"/>
      <c r="K9" s="107"/>
      <c r="L9" s="117"/>
      <c r="M9" s="107"/>
      <c r="N9" s="107"/>
      <c r="O9" s="107"/>
      <c r="P9" s="107"/>
    </row>
    <row r="10" spans="1:16" ht="14.25" customHeight="1">
      <c r="A10" s="24" t="s">
        <v>27</v>
      </c>
      <c r="B10" s="4">
        <v>1000</v>
      </c>
      <c r="C10" s="5" t="s">
        <v>28</v>
      </c>
      <c r="D10" s="25">
        <f>ROUND(F10+1,0)</f>
        <v>1</v>
      </c>
      <c r="E10" s="110" t="s">
        <v>29</v>
      </c>
      <c r="F10" s="116">
        <f>IF(G2=0,(F3-B5-1.5)^2/B10/2000,"")</f>
        <v>0.015097853419109505</v>
      </c>
      <c r="G10" s="28" t="s">
        <v>26</v>
      </c>
      <c r="H10" s="22"/>
      <c r="I10" s="114"/>
      <c r="J10" s="26"/>
      <c r="K10" s="115"/>
      <c r="L10" s="107"/>
      <c r="M10" s="107"/>
      <c r="N10" s="107"/>
      <c r="O10" s="107"/>
      <c r="P10" s="107"/>
    </row>
    <row r="11" spans="1:16" ht="14.25" customHeight="1">
      <c r="A11" s="131" t="s">
        <v>30</v>
      </c>
      <c r="B11" s="131"/>
      <c r="C11" s="131"/>
      <c r="D11" s="131"/>
      <c r="E11" s="20" t="s">
        <v>31</v>
      </c>
      <c r="F11" s="27">
        <f>IF((G2=0)*(F7&gt;0),F8*F3/(9*B5+F3),"")</f>
        <v>391.24184633228623</v>
      </c>
      <c r="G11" s="28" t="s">
        <v>32</v>
      </c>
      <c r="H11" s="109"/>
      <c r="I11" s="107"/>
      <c r="J11" s="29"/>
      <c r="K11" s="107"/>
      <c r="L11" s="107"/>
      <c r="M11" s="107"/>
      <c r="N11" s="107"/>
      <c r="O11" s="107"/>
      <c r="P11" s="107"/>
    </row>
    <row r="12" spans="1:16" ht="14.25" customHeight="1">
      <c r="A12" s="131"/>
      <c r="B12" s="131"/>
      <c r="C12" s="131"/>
      <c r="D12" s="131"/>
      <c r="E12" s="30" t="s">
        <v>69</v>
      </c>
      <c r="F12" s="79">
        <f>B5*B6/1000</f>
        <v>10.5</v>
      </c>
      <c r="G12" s="28" t="s">
        <v>71</v>
      </c>
      <c r="H12" s="109"/>
      <c r="I12" s="107"/>
      <c r="J12" s="29"/>
      <c r="K12" s="107"/>
      <c r="L12" s="107"/>
      <c r="M12" s="107"/>
      <c r="N12" s="107"/>
      <c r="O12" s="107"/>
      <c r="P12" s="107"/>
    </row>
    <row r="13" spans="1:16" ht="14.25" customHeight="1">
      <c r="A13" s="131"/>
      <c r="B13" s="131"/>
      <c r="C13" s="131"/>
      <c r="D13" s="131"/>
      <c r="E13" s="30" t="s">
        <v>70</v>
      </c>
      <c r="F13" s="79">
        <f>F12+1.5*B6/1000+F9+F10</f>
        <v>11.230525598457694</v>
      </c>
      <c r="G13" s="28" t="s">
        <v>72</v>
      </c>
      <c r="H13" s="109"/>
      <c r="I13" s="107"/>
      <c r="J13" s="29"/>
      <c r="K13" s="107"/>
      <c r="L13" s="107"/>
      <c r="M13" s="107"/>
      <c r="N13" s="107"/>
      <c r="O13" s="107"/>
      <c r="P13" s="107"/>
    </row>
    <row r="14" spans="1:16" ht="14.25" customHeight="1">
      <c r="A14" s="132" t="s">
        <v>37</v>
      </c>
      <c r="B14" s="132"/>
      <c r="C14" s="132"/>
      <c r="D14" s="132"/>
      <c r="E14" s="30" t="s">
        <v>33</v>
      </c>
      <c r="F14" s="31">
        <f>IF(G2=0,B5*B6/1000/(B5*B6/1000+1.5*B6/1000+F9+F10),"")</f>
        <v>0.9349517890277532</v>
      </c>
      <c r="G14" s="9" t="s">
        <v>34</v>
      </c>
      <c r="H14" s="109"/>
      <c r="I14" s="107"/>
      <c r="J14" s="29"/>
      <c r="K14" s="107"/>
      <c r="L14" s="107"/>
      <c r="M14" s="107"/>
      <c r="N14" s="107"/>
      <c r="O14" s="107"/>
      <c r="P14" s="107"/>
    </row>
    <row r="15" spans="1:16" ht="14.25" customHeight="1">
      <c r="A15" s="132"/>
      <c r="B15" s="132"/>
      <c r="C15" s="132"/>
      <c r="D15" s="132"/>
      <c r="E15" s="30" t="s">
        <v>35</v>
      </c>
      <c r="F15" s="32">
        <f>IF(G2=0,(B5*B6/1000+1.5*B6/1000+F9+F10)/(B3*F4/1000),"")</f>
        <v>0.4284538430478265</v>
      </c>
      <c r="G15" s="9" t="s">
        <v>36</v>
      </c>
      <c r="H15" s="109"/>
      <c r="I15" s="107"/>
      <c r="J15" s="29"/>
      <c r="K15" s="107"/>
      <c r="L15" s="107"/>
      <c r="M15" s="107"/>
      <c r="N15" s="107"/>
      <c r="O15" s="107"/>
      <c r="P15" s="107"/>
    </row>
    <row r="16" spans="1:16" ht="14.25" customHeight="1">
      <c r="A16" s="132"/>
      <c r="B16" s="132"/>
      <c r="C16" s="132"/>
      <c r="D16" s="132"/>
      <c r="E16" s="33"/>
      <c r="F16" s="34"/>
      <c r="G16" s="35"/>
      <c r="H16" s="109"/>
      <c r="I16" s="107"/>
      <c r="J16" s="29"/>
      <c r="K16" s="107"/>
      <c r="L16" s="107"/>
      <c r="M16" s="107"/>
      <c r="N16" s="107"/>
      <c r="O16" s="107"/>
      <c r="P16" s="107"/>
    </row>
    <row r="17" spans="1:16" ht="12.75">
      <c r="A17" s="118"/>
      <c r="B17" s="119"/>
      <c r="C17" s="119"/>
      <c r="D17" s="119"/>
      <c r="E17" s="119"/>
      <c r="F17" s="119"/>
      <c r="G17" s="120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7" ht="12.75">
      <c r="A18" s="118"/>
      <c r="B18" s="119"/>
      <c r="C18" s="119"/>
      <c r="D18" s="119"/>
      <c r="E18" s="119"/>
      <c r="F18" s="119"/>
      <c r="G18" s="120"/>
    </row>
    <row r="19" spans="1:9" ht="12.75">
      <c r="A19" s="118"/>
      <c r="B19" s="119"/>
      <c r="C19" s="119"/>
      <c r="D19" s="119"/>
      <c r="E19" s="119"/>
      <c r="F19" s="119"/>
      <c r="G19" s="120"/>
      <c r="I19" s="121"/>
    </row>
    <row r="20" spans="1:7" ht="12.75">
      <c r="A20" s="118"/>
      <c r="B20" s="119"/>
      <c r="C20" s="119"/>
      <c r="D20" s="119"/>
      <c r="E20" s="119"/>
      <c r="F20" s="119"/>
      <c r="G20" s="120"/>
    </row>
    <row r="21" spans="1:10" ht="12.75">
      <c r="A21" s="118"/>
      <c r="B21" s="119"/>
      <c r="C21" s="119"/>
      <c r="D21" s="119"/>
      <c r="E21" s="119"/>
      <c r="F21" s="119"/>
      <c r="G21" s="120"/>
      <c r="H21" s="122"/>
      <c r="I21" s="122"/>
      <c r="J21" s="122"/>
    </row>
    <row r="22" spans="1:10" ht="12.75">
      <c r="A22" s="118"/>
      <c r="B22" s="119"/>
      <c r="C22" s="119"/>
      <c r="D22" s="119"/>
      <c r="E22" s="119"/>
      <c r="F22" s="119"/>
      <c r="G22" s="120"/>
      <c r="H22" s="122"/>
      <c r="I22" s="122"/>
      <c r="J22" s="122"/>
    </row>
    <row r="23" spans="1:10" ht="12.75">
      <c r="A23" s="118"/>
      <c r="B23" s="119"/>
      <c r="C23" s="119"/>
      <c r="D23" s="119"/>
      <c r="E23" s="119"/>
      <c r="F23" s="119"/>
      <c r="G23" s="120"/>
      <c r="H23" s="122"/>
      <c r="I23" s="122"/>
      <c r="J23" s="122"/>
    </row>
    <row r="24" spans="1:10" ht="12.75">
      <c r="A24" s="118"/>
      <c r="B24" s="119"/>
      <c r="C24" s="119"/>
      <c r="D24" s="119"/>
      <c r="E24" s="119"/>
      <c r="F24" s="119"/>
      <c r="G24" s="120"/>
      <c r="H24" s="122"/>
      <c r="I24" s="122"/>
      <c r="J24" s="122"/>
    </row>
    <row r="25" spans="1:10" ht="12.75">
      <c r="A25" s="123"/>
      <c r="B25" s="124"/>
      <c r="C25" s="124"/>
      <c r="D25" s="124"/>
      <c r="E25" s="124"/>
      <c r="F25" s="124"/>
      <c r="G25" s="125"/>
      <c r="H25" s="122"/>
      <c r="I25" s="122"/>
      <c r="J25" s="122"/>
    </row>
    <row r="26" spans="1:10" ht="16.5" customHeight="1">
      <c r="A26" s="136" t="s">
        <v>38</v>
      </c>
      <c r="B26" s="136"/>
      <c r="C26" s="136"/>
      <c r="D26" s="136"/>
      <c r="E26" s="136"/>
      <c r="F26" s="136"/>
      <c r="G26" s="136"/>
      <c r="H26" s="36"/>
      <c r="I26" s="36"/>
      <c r="J26" s="38"/>
    </row>
    <row r="27" spans="1:10" ht="28.5" customHeight="1">
      <c r="A27" s="137" t="s">
        <v>39</v>
      </c>
      <c r="B27" s="137"/>
      <c r="C27" s="137"/>
      <c r="D27" s="137"/>
      <c r="E27" s="137"/>
      <c r="F27" s="137"/>
      <c r="G27" s="137"/>
      <c r="H27" s="36"/>
      <c r="I27" s="36"/>
      <c r="J27" s="38"/>
    </row>
    <row r="28" spans="1:10" ht="27.75" customHeight="1">
      <c r="A28" s="137" t="s">
        <v>40</v>
      </c>
      <c r="B28" s="137"/>
      <c r="C28" s="137"/>
      <c r="D28" s="137"/>
      <c r="E28" s="137"/>
      <c r="F28" s="137"/>
      <c r="G28" s="137"/>
      <c r="H28" s="36"/>
      <c r="I28" s="36"/>
      <c r="J28" s="38"/>
    </row>
    <row r="29" spans="1:10" ht="16.5" customHeight="1">
      <c r="A29" s="137" t="s">
        <v>41</v>
      </c>
      <c r="B29" s="137"/>
      <c r="C29" s="137"/>
      <c r="D29" s="137"/>
      <c r="E29" s="137"/>
      <c r="F29" s="137"/>
      <c r="G29" s="137"/>
      <c r="H29" s="36"/>
      <c r="I29" s="36"/>
      <c r="J29" s="38"/>
    </row>
    <row r="30" spans="1:10" ht="12.75">
      <c r="A30" s="133" t="s">
        <v>42</v>
      </c>
      <c r="B30" s="133"/>
      <c r="C30" s="133"/>
      <c r="D30" s="133"/>
      <c r="E30" s="133"/>
      <c r="F30" s="133"/>
      <c r="G30" s="133"/>
      <c r="H30" s="38"/>
      <c r="I30" s="38"/>
      <c r="J30" s="38"/>
    </row>
    <row r="31" spans="1:10" ht="12.75">
      <c r="A31" s="133" t="s">
        <v>43</v>
      </c>
      <c r="B31" s="133"/>
      <c r="C31" s="133"/>
      <c r="D31" s="133"/>
      <c r="E31" s="133"/>
      <c r="F31" s="133"/>
      <c r="G31" s="133"/>
      <c r="H31" s="122"/>
      <c r="I31" s="122"/>
      <c r="J31" s="122"/>
    </row>
    <row r="32" spans="1:7" ht="12.75">
      <c r="A32" s="133" t="s">
        <v>44</v>
      </c>
      <c r="B32" s="133"/>
      <c r="C32" s="133"/>
      <c r="D32" s="133"/>
      <c r="E32" s="133"/>
      <c r="F32" s="133"/>
      <c r="G32" s="133"/>
    </row>
    <row r="33" spans="1:7" ht="37.5" customHeight="1">
      <c r="A33" s="134" t="s">
        <v>45</v>
      </c>
      <c r="B33" s="134"/>
      <c r="C33" s="134"/>
      <c r="D33" s="134"/>
      <c r="E33" s="134"/>
      <c r="F33" s="134"/>
      <c r="G33" s="134"/>
    </row>
    <row r="34" spans="1:7" ht="23.25" customHeight="1">
      <c r="A34" s="134" t="s">
        <v>46</v>
      </c>
      <c r="B34" s="134"/>
      <c r="C34" s="134"/>
      <c r="D34" s="134"/>
      <c r="E34" s="134"/>
      <c r="F34" s="134"/>
      <c r="G34" s="134"/>
    </row>
    <row r="35" spans="1:7" ht="38.25" customHeight="1">
      <c r="A35" s="135" t="s">
        <v>47</v>
      </c>
      <c r="B35" s="135"/>
      <c r="C35" s="135"/>
      <c r="D35" s="135"/>
      <c r="E35" s="135"/>
      <c r="F35" s="135"/>
      <c r="G35" s="135"/>
    </row>
  </sheetData>
  <sheetProtection selectLockedCells="1" selectUnlockedCells="1"/>
  <mergeCells count="16">
    <mergeCell ref="A32:G32"/>
    <mergeCell ref="A33:G33"/>
    <mergeCell ref="A34:G34"/>
    <mergeCell ref="A35:G35"/>
    <mergeCell ref="A26:G26"/>
    <mergeCell ref="A27:G27"/>
    <mergeCell ref="A28:G28"/>
    <mergeCell ref="A29:G29"/>
    <mergeCell ref="A30:G30"/>
    <mergeCell ref="A31:G31"/>
    <mergeCell ref="A1:G1"/>
    <mergeCell ref="A2:C2"/>
    <mergeCell ref="E2:F2"/>
    <mergeCell ref="A8:C8"/>
    <mergeCell ref="A11:D13"/>
    <mergeCell ref="A14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B6" sqref="B6"/>
    </sheetView>
  </sheetViews>
  <sheetFormatPr defaultColWidth="5.7109375" defaultRowHeight="12.75"/>
  <cols>
    <col min="1" max="1" width="21.421875" style="37" customWidth="1"/>
    <col min="2" max="2" width="6.140625" style="38" customWidth="1"/>
    <col min="3" max="3" width="4.7109375" style="38" customWidth="1"/>
    <col min="4" max="4" width="6.421875" style="38" customWidth="1"/>
    <col min="5" max="5" width="9.8515625" style="38" customWidth="1"/>
    <col min="6" max="6" width="11.57421875" style="38" customWidth="1"/>
    <col min="7" max="7" width="4.8515625" style="38" customWidth="1"/>
    <col min="8" max="8" width="31.421875" style="38" customWidth="1"/>
    <col min="9" max="9" width="5.140625" style="39" customWidth="1"/>
    <col min="10" max="10" width="6.140625" style="40" customWidth="1"/>
    <col min="11" max="11" width="5.7109375" style="41" customWidth="1"/>
    <col min="12" max="12" width="22.140625" style="42" customWidth="1"/>
    <col min="13" max="13" width="8.140625" style="41" customWidth="1"/>
    <col min="14" max="14" width="5.7109375" style="41" customWidth="1"/>
    <col min="15" max="15" width="15.8515625" style="41" customWidth="1"/>
    <col min="16" max="16" width="8.8515625" style="41" customWidth="1"/>
    <col min="17" max="17" width="4.28125" style="41" customWidth="1"/>
    <col min="18" max="18" width="10.7109375" style="41" customWidth="1"/>
    <col min="19" max="16384" width="5.7109375" style="41" customWidth="1"/>
  </cols>
  <sheetData>
    <row r="1" spans="1:21" ht="36" customHeight="1">
      <c r="A1" s="147" t="s">
        <v>48</v>
      </c>
      <c r="B1" s="147"/>
      <c r="C1" s="147"/>
      <c r="D1" s="147"/>
      <c r="E1" s="147"/>
      <c r="F1" s="147"/>
      <c r="G1" s="147"/>
      <c r="H1" s="43"/>
      <c r="I1" s="44"/>
      <c r="J1" s="44"/>
      <c r="K1" s="45"/>
      <c r="L1" s="148"/>
      <c r="M1" s="148"/>
      <c r="N1" s="148"/>
      <c r="O1" s="148"/>
      <c r="P1" s="148"/>
      <c r="Q1" s="148"/>
      <c r="R1" s="46"/>
      <c r="S1" s="46"/>
      <c r="T1" s="46"/>
      <c r="U1" s="46"/>
    </row>
    <row r="2" spans="1:14" s="51" customFormat="1" ht="18" customHeight="1">
      <c r="A2" s="149" t="s">
        <v>1</v>
      </c>
      <c r="B2" s="150"/>
      <c r="C2" s="151"/>
      <c r="D2" s="80"/>
      <c r="E2" s="149" t="s">
        <v>2</v>
      </c>
      <c r="F2" s="150"/>
      <c r="G2" s="82">
        <f>7-((B3&gt;0)+(B4&gt;0)+(B5&gt;0)+(B6&gt;0)+(B7&gt;0)+(B8&gt;=0)+(2^0.5*B3&gt;B8))</f>
        <v>0</v>
      </c>
      <c r="H2" s="83"/>
      <c r="I2" s="47"/>
      <c r="J2" s="48"/>
      <c r="K2" s="49"/>
      <c r="L2" s="152"/>
      <c r="M2" s="152"/>
      <c r="N2" s="50"/>
    </row>
    <row r="3" spans="1:13" s="51" customFormat="1" ht="18" customHeight="1">
      <c r="A3" s="91" t="s">
        <v>3</v>
      </c>
      <c r="B3" s="52">
        <v>230</v>
      </c>
      <c r="C3" s="92" t="s">
        <v>4</v>
      </c>
      <c r="D3" s="90"/>
      <c r="E3" s="93" t="s">
        <v>5</v>
      </c>
      <c r="F3" s="53">
        <f>IF(G2&lt;1,B3*(2^0.5),"")</f>
        <v>325.2691193458119</v>
      </c>
      <c r="G3" s="54"/>
      <c r="H3" s="84" t="s">
        <v>49</v>
      </c>
      <c r="I3" s="47"/>
      <c r="J3" s="55"/>
      <c r="M3" s="56"/>
    </row>
    <row r="4" spans="1:13" s="51" customFormat="1" ht="18" customHeight="1">
      <c r="A4" s="91" t="s">
        <v>7</v>
      </c>
      <c r="B4" s="52">
        <v>50</v>
      </c>
      <c r="C4" s="92" t="s">
        <v>8</v>
      </c>
      <c r="D4" s="90"/>
      <c r="E4" s="93" t="s">
        <v>50</v>
      </c>
      <c r="F4" s="57">
        <f>IF(G2&lt;1,2^0.5*B3/B6,"")</f>
        <v>6.920619560549189</v>
      </c>
      <c r="G4" s="58"/>
      <c r="H4" s="84" t="s">
        <v>51</v>
      </c>
      <c r="I4" s="47"/>
      <c r="J4" s="55"/>
      <c r="M4" s="23"/>
    </row>
    <row r="5" spans="1:13" s="51" customFormat="1" ht="17.25" customHeight="1">
      <c r="A5" s="91" t="s">
        <v>52</v>
      </c>
      <c r="B5" s="52">
        <v>2250</v>
      </c>
      <c r="C5" s="92" t="s">
        <v>53</v>
      </c>
      <c r="D5" s="90"/>
      <c r="E5" s="93" t="s">
        <v>54</v>
      </c>
      <c r="F5" s="59">
        <f>IF(G2&lt;1,PI()/2*2^0.5/2*F10*(1+B8/F3),"")</f>
        <v>125.44309484868135</v>
      </c>
      <c r="G5" s="54"/>
      <c r="H5" s="85" t="s">
        <v>10</v>
      </c>
      <c r="I5" s="47"/>
      <c r="J5" s="60"/>
      <c r="L5" s="61"/>
      <c r="M5" s="62"/>
    </row>
    <row r="6" spans="1:14" s="51" customFormat="1" ht="18" customHeight="1">
      <c r="A6" s="91" t="s">
        <v>23</v>
      </c>
      <c r="B6" s="52">
        <v>47</v>
      </c>
      <c r="C6" s="81" t="s">
        <v>24</v>
      </c>
      <c r="D6" s="104">
        <f>ROUND(F6+1,0)</f>
        <v>2</v>
      </c>
      <c r="E6" s="94" t="s">
        <v>55</v>
      </c>
      <c r="F6" s="63">
        <f>F5^2*B6/10^6</f>
        <v>0.7395905921251176</v>
      </c>
      <c r="G6" s="54"/>
      <c r="H6" s="84" t="s">
        <v>56</v>
      </c>
      <c r="I6" s="47"/>
      <c r="J6" s="60"/>
      <c r="M6" s="64"/>
      <c r="N6" s="65"/>
    </row>
    <row r="7" spans="1:14" s="51" customFormat="1" ht="18" customHeight="1">
      <c r="A7" s="91" t="s">
        <v>27</v>
      </c>
      <c r="B7" s="52">
        <v>1000</v>
      </c>
      <c r="C7" s="81" t="s">
        <v>28</v>
      </c>
      <c r="D7" s="105">
        <f>ROUND(F7+1,0)</f>
        <v>1</v>
      </c>
      <c r="E7" s="94" t="s">
        <v>57</v>
      </c>
      <c r="F7" s="126">
        <f>(F3-B8-1.5)^2/B7/2000</f>
        <v>0.015097853419109505</v>
      </c>
      <c r="G7" s="54"/>
      <c r="H7" s="84" t="s">
        <v>56</v>
      </c>
      <c r="I7" s="47"/>
      <c r="J7" s="60"/>
      <c r="L7" s="49"/>
      <c r="M7" s="67"/>
      <c r="N7" s="49"/>
    </row>
    <row r="8" spans="1:14" s="51" customFormat="1" ht="18" customHeight="1">
      <c r="A8" s="91" t="s">
        <v>11</v>
      </c>
      <c r="B8" s="52">
        <v>150</v>
      </c>
      <c r="C8" s="92" t="s">
        <v>4</v>
      </c>
      <c r="D8" s="90"/>
      <c r="E8" s="94" t="s">
        <v>18</v>
      </c>
      <c r="F8" s="68">
        <f>10^6/(2*PI()*B4*B5)</f>
        <v>1.4147106052612917</v>
      </c>
      <c r="G8" s="54"/>
      <c r="H8" s="84" t="s">
        <v>58</v>
      </c>
      <c r="I8" s="47"/>
      <c r="J8" s="60"/>
      <c r="L8" s="49"/>
      <c r="M8" s="67"/>
      <c r="N8" s="49"/>
    </row>
    <row r="9" spans="1:14" s="51" customFormat="1" ht="18" customHeight="1">
      <c r="A9" s="138" t="s">
        <v>30</v>
      </c>
      <c r="B9" s="139"/>
      <c r="C9" s="139"/>
      <c r="D9" s="140"/>
      <c r="E9" s="94" t="s">
        <v>16</v>
      </c>
      <c r="F9" s="68">
        <f>(B6/1000+1/(1/B7^2+1/F8^2))^0.5</f>
        <v>1.431223983526137</v>
      </c>
      <c r="G9" s="54"/>
      <c r="H9" s="84" t="s">
        <v>58</v>
      </c>
      <c r="I9" s="47"/>
      <c r="J9" s="60"/>
      <c r="L9" s="49"/>
      <c r="M9" s="67"/>
      <c r="N9" s="49"/>
    </row>
    <row r="10" spans="1:14" s="51" customFormat="1" ht="18" customHeight="1">
      <c r="A10" s="141"/>
      <c r="B10" s="142"/>
      <c r="C10" s="142"/>
      <c r="D10" s="143"/>
      <c r="E10" s="101" t="s">
        <v>59</v>
      </c>
      <c r="F10" s="102">
        <f>2*(F3-B8-1.5)/F9/PI()</f>
        <v>77.29388165358789</v>
      </c>
      <c r="G10" s="69"/>
      <c r="H10" s="103" t="s">
        <v>60</v>
      </c>
      <c r="I10" s="47"/>
      <c r="J10" s="60"/>
      <c r="L10" s="49"/>
      <c r="M10" s="67"/>
      <c r="N10" s="49"/>
    </row>
    <row r="11" spans="1:14" s="51" customFormat="1" ht="18" customHeight="1">
      <c r="A11" s="141"/>
      <c r="B11" s="142"/>
      <c r="C11" s="142"/>
      <c r="D11" s="143"/>
      <c r="E11" s="93" t="s">
        <v>61</v>
      </c>
      <c r="F11" s="70">
        <f>B5*2^0.5*B3/(9*B8+2^0.5*B3)</f>
        <v>436.8584784836626</v>
      </c>
      <c r="G11" s="71"/>
      <c r="H11" s="86" t="s">
        <v>62</v>
      </c>
      <c r="I11" s="47"/>
      <c r="J11" s="60"/>
      <c r="L11" s="72"/>
      <c r="M11" s="67"/>
      <c r="N11" s="73"/>
    </row>
    <row r="12" spans="1:14" s="51" customFormat="1" ht="18" customHeight="1">
      <c r="A12" s="144" t="s">
        <v>37</v>
      </c>
      <c r="B12" s="145"/>
      <c r="C12" s="145"/>
      <c r="D12" s="146"/>
      <c r="E12" s="95" t="s">
        <v>69</v>
      </c>
      <c r="F12" s="66">
        <f>B8*F10/1000</f>
        <v>11.594082248038182</v>
      </c>
      <c r="G12" s="71"/>
      <c r="H12" s="86" t="s">
        <v>71</v>
      </c>
      <c r="I12" s="47"/>
      <c r="J12" s="60"/>
      <c r="L12" s="72"/>
      <c r="M12" s="67"/>
      <c r="N12" s="73"/>
    </row>
    <row r="13" spans="1:14" s="51" customFormat="1" ht="18" customHeight="1">
      <c r="A13" s="144"/>
      <c r="B13" s="145"/>
      <c r="C13" s="145"/>
      <c r="D13" s="146"/>
      <c r="E13" s="95" t="s">
        <v>70</v>
      </c>
      <c r="F13" s="66">
        <f>B8*F10/1000+F6+F7+1.5*F10/1000</f>
        <v>12.46471151606279</v>
      </c>
      <c r="G13" s="71"/>
      <c r="H13" s="86" t="s">
        <v>72</v>
      </c>
      <c r="I13" s="47"/>
      <c r="J13" s="60"/>
      <c r="L13" s="72"/>
      <c r="M13" s="67"/>
      <c r="N13" s="73"/>
    </row>
    <row r="14" spans="1:14" s="51" customFormat="1" ht="18" customHeight="1">
      <c r="A14" s="144"/>
      <c r="B14" s="145"/>
      <c r="C14" s="145"/>
      <c r="D14" s="146"/>
      <c r="E14" s="93" t="s">
        <v>33</v>
      </c>
      <c r="F14" s="74">
        <f>IF(F13&gt;0,F12/F13,"")</f>
        <v>0.9301524734926547</v>
      </c>
      <c r="G14" s="71"/>
      <c r="H14" s="84" t="s">
        <v>34</v>
      </c>
      <c r="I14" s="47"/>
      <c r="J14" s="60"/>
      <c r="L14" s="72"/>
      <c r="M14" s="67"/>
      <c r="N14" s="73"/>
    </row>
    <row r="15" spans="1:14" s="51" customFormat="1" ht="18" customHeight="1">
      <c r="A15" s="97"/>
      <c r="B15" s="98"/>
      <c r="C15" s="99"/>
      <c r="D15" s="100"/>
      <c r="E15" s="96" t="s">
        <v>63</v>
      </c>
      <c r="F15" s="87">
        <f>(B8*F10/1000+F6+F7+1.5*F10/1000)/(B3*F5/1000)</f>
        <v>0.43202376313577423</v>
      </c>
      <c r="G15" s="88"/>
      <c r="H15" s="89" t="s">
        <v>36</v>
      </c>
      <c r="I15" s="47"/>
      <c r="J15" s="60"/>
      <c r="L15" s="72"/>
      <c r="M15" s="67"/>
      <c r="N15" s="73"/>
    </row>
    <row r="16" spans="1:14" s="51" customFormat="1" ht="15" customHeight="1">
      <c r="A16" s="75"/>
      <c r="B16" s="75"/>
      <c r="C16" s="75"/>
      <c r="D16" s="75"/>
      <c r="E16" s="76"/>
      <c r="F16" s="76"/>
      <c r="G16" s="76"/>
      <c r="H16" s="77"/>
      <c r="I16" s="78"/>
      <c r="J16" s="60"/>
      <c r="L16" s="72"/>
      <c r="M16" s="67"/>
      <c r="N16" s="49"/>
    </row>
    <row r="17" spans="1:14" s="51" customFormat="1" ht="15" customHeight="1">
      <c r="A17" s="75"/>
      <c r="B17" s="75"/>
      <c r="C17" s="75"/>
      <c r="D17" s="75"/>
      <c r="E17" s="76"/>
      <c r="F17" s="76"/>
      <c r="G17" s="76"/>
      <c r="H17" s="77"/>
      <c r="I17" s="78"/>
      <c r="J17" s="60"/>
      <c r="L17" s="72"/>
      <c r="M17" s="67"/>
      <c r="N17" s="49"/>
    </row>
    <row r="18" spans="1:14" s="51" customFormat="1" ht="15" customHeight="1">
      <c r="A18" s="75"/>
      <c r="B18" s="75"/>
      <c r="C18" s="75"/>
      <c r="D18" s="75"/>
      <c r="E18" s="76"/>
      <c r="F18" s="76"/>
      <c r="G18" s="76"/>
      <c r="H18" s="77"/>
      <c r="I18" s="78"/>
      <c r="J18" s="60"/>
      <c r="L18" s="72"/>
      <c r="M18" s="67"/>
      <c r="N18" s="49"/>
    </row>
    <row r="19" spans="1:14" s="51" customFormat="1" ht="15" customHeight="1">
      <c r="A19" s="75"/>
      <c r="B19" s="75"/>
      <c r="C19" s="75"/>
      <c r="D19" s="75"/>
      <c r="E19" s="76"/>
      <c r="F19" s="76"/>
      <c r="G19" s="76"/>
      <c r="H19" s="77"/>
      <c r="I19" s="78"/>
      <c r="J19" s="60"/>
      <c r="L19" s="72"/>
      <c r="M19" s="67"/>
      <c r="N19" s="49"/>
    </row>
    <row r="20" spans="1:14" s="51" customFormat="1" ht="15" customHeight="1">
      <c r="A20" s="75"/>
      <c r="B20" s="75"/>
      <c r="C20" s="75"/>
      <c r="D20" s="75"/>
      <c r="E20" s="76"/>
      <c r="F20" s="76"/>
      <c r="G20" s="76"/>
      <c r="H20" s="77"/>
      <c r="I20" s="78"/>
      <c r="J20" s="60"/>
      <c r="L20" s="72"/>
      <c r="M20" s="67"/>
      <c r="N20" s="49"/>
    </row>
    <row r="21" spans="1:14" s="51" customFormat="1" ht="15" customHeight="1">
      <c r="A21" s="75"/>
      <c r="B21" s="75"/>
      <c r="C21" s="75"/>
      <c r="D21" s="75"/>
      <c r="E21" s="76"/>
      <c r="F21" s="76"/>
      <c r="G21" s="76"/>
      <c r="H21" s="77"/>
      <c r="I21" s="78"/>
      <c r="J21" s="60"/>
      <c r="L21" s="72"/>
      <c r="M21" s="67"/>
      <c r="N21" s="49"/>
    </row>
    <row r="22" spans="1:14" s="51" customFormat="1" ht="15" customHeight="1">
      <c r="A22" s="75"/>
      <c r="B22" s="75"/>
      <c r="C22" s="75"/>
      <c r="D22" s="75"/>
      <c r="E22" s="76"/>
      <c r="F22" s="76"/>
      <c r="G22" s="76"/>
      <c r="H22" s="77"/>
      <c r="I22" s="78"/>
      <c r="J22" s="60"/>
      <c r="L22" s="72"/>
      <c r="M22" s="67"/>
      <c r="N22" s="49"/>
    </row>
    <row r="23" spans="1:14" s="51" customFormat="1" ht="15" customHeight="1">
      <c r="A23" s="75"/>
      <c r="B23" s="75"/>
      <c r="C23" s="75"/>
      <c r="D23" s="75"/>
      <c r="E23" s="76"/>
      <c r="F23" s="76"/>
      <c r="G23" s="76"/>
      <c r="H23" s="77"/>
      <c r="I23" s="78"/>
      <c r="J23" s="60"/>
      <c r="L23" s="72"/>
      <c r="M23" s="67"/>
      <c r="N23" s="49"/>
    </row>
    <row r="24" spans="1:14" s="51" customFormat="1" ht="15" customHeight="1">
      <c r="A24" s="75"/>
      <c r="B24" s="75"/>
      <c r="C24" s="75"/>
      <c r="D24" s="75"/>
      <c r="E24" s="76"/>
      <c r="F24" s="76"/>
      <c r="G24" s="76"/>
      <c r="H24" s="77"/>
      <c r="I24" s="78"/>
      <c r="J24" s="60"/>
      <c r="L24" s="72"/>
      <c r="M24" s="67"/>
      <c r="N24" s="49"/>
    </row>
    <row r="25" spans="1:12" ht="12.75" customHeight="1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42"/>
      <c r="L25" s="41"/>
    </row>
    <row r="26" spans="1:12" ht="23.25" customHeight="1">
      <c r="A26" s="137" t="s">
        <v>64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42"/>
      <c r="L26" s="41"/>
    </row>
    <row r="27" spans="1:12" ht="32.25" customHeight="1">
      <c r="A27" s="137" t="s">
        <v>40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42"/>
      <c r="L27" s="41"/>
    </row>
    <row r="28" spans="1:12" ht="13.5" customHeight="1">
      <c r="A28" s="137" t="s">
        <v>41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42"/>
      <c r="L28" s="41"/>
    </row>
    <row r="29" spans="1:12" ht="38.25" customHeight="1">
      <c r="A29" s="137" t="s">
        <v>65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42"/>
      <c r="L29" s="41"/>
    </row>
    <row r="30" spans="1:12" ht="12" customHeight="1">
      <c r="A30" s="137" t="s">
        <v>43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42"/>
      <c r="L30" s="41"/>
    </row>
    <row r="31" spans="1:12" ht="14.25" customHeight="1">
      <c r="A31" s="137" t="s">
        <v>44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42"/>
      <c r="L31" s="41"/>
    </row>
    <row r="32" spans="1:12" ht="35.25" customHeight="1">
      <c r="A32" s="137" t="s">
        <v>66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42"/>
      <c r="L32" s="41"/>
    </row>
    <row r="33" spans="1:12" ht="39" customHeight="1">
      <c r="A33" s="137" t="s">
        <v>67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42"/>
      <c r="L33" s="41"/>
    </row>
    <row r="34" spans="1:12" ht="44.25" customHeight="1">
      <c r="A34" s="153" t="s">
        <v>68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42"/>
      <c r="L34" s="41"/>
    </row>
    <row r="35" spans="8:11" ht="12.75">
      <c r="H35" s="39"/>
      <c r="I35" s="40"/>
      <c r="J35" s="38"/>
      <c r="K35" s="42"/>
    </row>
    <row r="36" spans="8:12" ht="12.75">
      <c r="H36" s="39"/>
      <c r="I36" s="40"/>
      <c r="J36" s="38"/>
      <c r="K36" s="42"/>
      <c r="L36" s="41"/>
    </row>
    <row r="37" spans="8:12" ht="12.75">
      <c r="H37" s="39"/>
      <c r="I37" s="40"/>
      <c r="J37" s="38"/>
      <c r="K37" s="42"/>
      <c r="L37" s="41"/>
    </row>
    <row r="38" spans="8:12" ht="12.75">
      <c r="H38" s="39"/>
      <c r="I38" s="40"/>
      <c r="J38" s="38"/>
      <c r="K38" s="42"/>
      <c r="L38" s="41"/>
    </row>
    <row r="39" spans="8:12" ht="12.75">
      <c r="H39" s="39"/>
      <c r="I39" s="40"/>
      <c r="J39" s="38"/>
      <c r="K39" s="42"/>
      <c r="L39" s="41"/>
    </row>
    <row r="40" spans="8:12" ht="12.75">
      <c r="H40" s="39"/>
      <c r="I40" s="40"/>
      <c r="J40" s="38"/>
      <c r="K40" s="42"/>
      <c r="L40" s="41"/>
    </row>
    <row r="41" spans="11:12" ht="12.75">
      <c r="K41" s="42"/>
      <c r="L41" s="41"/>
    </row>
    <row r="42" spans="11:12" ht="12.75">
      <c r="K42" s="42"/>
      <c r="L42" s="41"/>
    </row>
    <row r="43" ht="12.75">
      <c r="L43" s="41"/>
    </row>
  </sheetData>
  <sheetProtection selectLockedCells="1" selectUnlockedCells="1"/>
  <mergeCells count="17">
    <mergeCell ref="A25:J25"/>
    <mergeCell ref="A26:J26"/>
    <mergeCell ref="A27:J27"/>
    <mergeCell ref="A28:J28"/>
    <mergeCell ref="A33:J33"/>
    <mergeCell ref="A34:J34"/>
    <mergeCell ref="A29:J29"/>
    <mergeCell ref="A30:J30"/>
    <mergeCell ref="A31:J31"/>
    <mergeCell ref="A32:J32"/>
    <mergeCell ref="A9:D11"/>
    <mergeCell ref="A12:D14"/>
    <mergeCell ref="A1:G1"/>
    <mergeCell ref="L1:Q1"/>
    <mergeCell ref="A2:C2"/>
    <mergeCell ref="E2:F2"/>
    <mergeCell ref="L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Bíró Dávid</cp:lastModifiedBy>
  <dcterms:created xsi:type="dcterms:W3CDTF">2012-03-28T17:17:32Z</dcterms:created>
  <dcterms:modified xsi:type="dcterms:W3CDTF">2013-06-23T09:48:30Z</dcterms:modified>
  <cp:category/>
  <cp:version/>
  <cp:contentType/>
  <cp:contentStatus/>
</cp:coreProperties>
</file>